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<sst xmlns="http://schemas.openxmlformats.org/spreadsheetml/2006/main" count="341" uniqueCount="167">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</sst>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16.233300140543427</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3.2332151371153208</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17.468922522560305</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7.6054008294023152</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0.5402030276203269</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58.635437017978028</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39.011058822543674</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15.211178218717446</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8.2512234810146428</c:v>
                </c:pt>
              </c:numCache>
            </c:numRef>
          </c:val>
        </c:ser>
        <c:dLbls>
          <c:showLegendKey val="0"/>
          <c:showVal val="0"/>
          <c:showCatName val="0"/>
          <c:showSerName val="0"/>
          <c:showPercent val="0"/>
          <c:showBubbleSize val="0"/>
        </c:dLbls>
        <c:gapWidth val="150"/>
        <c:overlap val="100"/>
        <c:axId val="612771224"/>
        <c:axId val="612772400"/>
      </c:barChart>
      <c:catAx>
        <c:axId val="6127712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2772400"/>
        <c:crosses val="autoZero"/>
        <c:auto val="1"/>
        <c:lblAlgn val="ctr"/>
        <c:lblOffset val="100"/>
        <c:noMultiLvlLbl val="0"/>
      </c:catAx>
      <c:valAx>
        <c:axId val="6127724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2771224"/>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19.466515277658747</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84.249963397560975</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62.473460522275765</c:v>
                </c:pt>
              </c:numCache>
            </c:numRef>
          </c:val>
        </c:ser>
        <c:dLbls>
          <c:showLegendKey val="0"/>
          <c:showVal val="0"/>
          <c:showCatName val="0"/>
          <c:showSerName val="0"/>
          <c:showPercent val="0"/>
          <c:showBubbleSize val="0"/>
        </c:dLbls>
        <c:gapWidth val="150"/>
        <c:overlap val="100"/>
        <c:axId val="612773576"/>
        <c:axId val="612773184"/>
      </c:barChart>
      <c:catAx>
        <c:axId val="612773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2773184"/>
        <c:crosses val="autoZero"/>
        <c:auto val="1"/>
        <c:lblAlgn val="ctr"/>
        <c:lblOffset val="100"/>
        <c:noMultiLvlLbl val="0"/>
      </c:catAx>
      <c:valAx>
        <c:axId val="6127731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2773576"/>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155.28294697464835</c:v>
                </c:pt>
                <c:pt idx="1">
                  <c:v>160.97998036044845</c:v>
                </c:pt>
                <c:pt idx="2">
                  <c:v>148.59930809210206</c:v>
                </c:pt>
                <c:pt idx="3">
                  <c:v>164.43165389576848</c:v>
                </c:pt>
                <c:pt idx="4">
                  <c:v>147.44790104081275</c:v>
                </c:pt>
                <c:pt idx="5">
                  <c:v>140.91495017822717</c:v>
                </c:pt>
                <c:pt idx="6">
                  <c:v>160.34998461419787</c:v>
                </c:pt>
                <c:pt idx="7">
                  <c:v>159.1254880327314</c:v>
                </c:pt>
                <c:pt idx="8">
                  <c:v>130.83549747193516</c:v>
                </c:pt>
                <c:pt idx="9">
                  <c:v>158.56874783442751</c:v>
                </c:pt>
                <c:pt idx="10">
                  <c:v>145.07361395316201</c:v>
                </c:pt>
                <c:pt idx="11">
                  <c:v>163.20172215014009</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36.356640742823714</c:v>
                </c:pt>
                <c:pt idx="1">
                  <c:v>10.419917674094052</c:v>
                </c:pt>
                <c:pt idx="2">
                  <c:v>35.181262210786826</c:v>
                </c:pt>
                <c:pt idx="3">
                  <c:v>3.5165706034539994</c:v>
                </c:pt>
                <c:pt idx="4">
                  <c:v>37.484076313365449</c:v>
                </c:pt>
                <c:pt idx="5">
                  <c:v>50.549978038536608</c:v>
                </c:pt>
                <c:pt idx="6">
                  <c:v>11.679909166595223</c:v>
                </c:pt>
                <c:pt idx="7">
                  <c:v>7.0644511647640797</c:v>
                </c:pt>
                <c:pt idx="8">
                  <c:v>35.354441725560321</c:v>
                </c:pt>
                <c:pt idx="9">
                  <c:v>50.584301809056058</c:v>
                </c:pt>
                <c:pt idx="10">
                  <c:v>43.833793838829479</c:v>
                </c:pt>
                <c:pt idx="11">
                  <c:v>29.882170473553742</c:v>
                </c:pt>
              </c:numCache>
            </c:numRef>
          </c:val>
        </c:ser>
        <c:dLbls>
          <c:showLegendKey val="0"/>
          <c:showVal val="0"/>
          <c:showCatName val="0"/>
          <c:showSerName val="0"/>
          <c:showPercent val="0"/>
          <c:showBubbleSize val="0"/>
        </c:dLbls>
        <c:gapWidth val="55"/>
        <c:overlap val="100"/>
        <c:axId val="624533840"/>
        <c:axId val="507227392"/>
      </c:barChart>
      <c:catAx>
        <c:axId val="624533840"/>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7227392"/>
        <c:crosses val="autoZero"/>
        <c:auto val="1"/>
        <c:lblAlgn val="ctr"/>
        <c:lblOffset val="100"/>
        <c:noMultiLvlLbl val="0"/>
      </c:catAx>
      <c:valAx>
        <c:axId val="507227392"/>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24533840"/>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142875</xdr:colOff>
      <xdr:row>1</xdr:row>
      <xdr:rowOff>114300</xdr:rowOff>
    </xdr:from>
    <xdr:to>
      <xdr:col>29</xdr:col>
      <xdr:colOff>356831</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87725" y="304800"/>
          <a:ext cx="1395056" cy="1021538"/>
        </a:xfrm>
        <a:prstGeom prst="rect">
          <a:avLst/>
        </a:prstGeom>
      </xdr:spPr>
    </xdr:pic>
    <xdr:clientData/>
  </xdr:twoCellAnchor>
  <xdr:twoCellAnchor editAs="oneCell">
    <xdr:from>
      <xdr:col>26</xdr:col>
      <xdr:colOff>257175</xdr:colOff>
      <xdr:row>1</xdr:row>
      <xdr:rowOff>114300</xdr:rowOff>
    </xdr:from>
    <xdr:to>
      <xdr:col>29</xdr:col>
      <xdr:colOff>349692</xdr:colOff>
      <xdr:row>6</xdr:row>
      <xdr:rowOff>177383</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11475" y="304800"/>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AdKCoQG1EVMmuY5FDIjAN+tAgLmr9DAwspHnf9bq0s6QjYHKF4AHVe+LGKK1lF789eqetHBxx4QB+vWT4iroEA==" saltValue="YHwcLTJaHRCpL4XdOHC5j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I112" sqref="I112"/>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191.31481069995982</v>
      </c>
      <c r="G16" s="5" t="s">
        <v>97</v>
      </c>
      <c r="H16" t="s">
        <v>162</v>
      </c>
    </row>
    <row r="17" spans="1:12" ht="18" x14ac:dyDescent="0.35">
      <c r="B17" s="140" t="s">
        <v>98</v>
      </c>
      <c r="C17" s="141"/>
      <c r="D17" s="141"/>
      <c r="E17" s="141"/>
      <c r="F17" s="125">
        <v>64.066356905079346</v>
      </c>
      <c r="G17" s="5" t="s">
        <v>97</v>
      </c>
    </row>
    <row r="18" spans="1:12" x14ac:dyDescent="0.25">
      <c r="B18" s="46"/>
      <c r="C18" s="46"/>
      <c r="G18" s="60"/>
    </row>
    <row r="19" spans="1:12" ht="18" x14ac:dyDescent="0.35">
      <c r="B19" s="140" t="s">
        <v>93</v>
      </c>
      <c r="C19" s="147"/>
      <c r="D19" s="141"/>
      <c r="E19" s="141"/>
      <c r="F19" s="43">
        <f>F16*'Input data'!E12/1000</f>
        <v>1607.044409879662</v>
      </c>
      <c r="G19" s="5" t="s">
        <v>95</v>
      </c>
    </row>
    <row r="20" spans="1:12" ht="18" x14ac:dyDescent="0.35">
      <c r="B20" s="148" t="s">
        <v>94</v>
      </c>
      <c r="C20" s="147"/>
      <c r="D20" s="141"/>
      <c r="E20" s="141"/>
      <c r="F20" s="43">
        <f>(F16-F17)*'Input data'!E12/1000</f>
        <v>1068.8870118769958</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v>32100</v>
      </c>
      <c r="E27" s="126">
        <v>82600</v>
      </c>
      <c r="F27" s="126">
        <v>35500</v>
      </c>
      <c r="G27" s="127">
        <v>13530</v>
      </c>
      <c r="H27" s="137">
        <v>64310</v>
      </c>
      <c r="I27" s="126">
        <v>7400</v>
      </c>
      <c r="J27" s="127">
        <v>2870</v>
      </c>
      <c r="K27" s="156">
        <v>48800</v>
      </c>
      <c r="L27" s="157"/>
    </row>
    <row r="28" spans="1:12" x14ac:dyDescent="0.25">
      <c r="A28" s="2"/>
      <c r="B28" s="9" t="s">
        <v>1</v>
      </c>
      <c r="C28" s="80"/>
      <c r="D28" s="137">
        <v>21100</v>
      </c>
      <c r="E28" s="126">
        <v>48500</v>
      </c>
      <c r="F28" s="126">
        <v>20900</v>
      </c>
      <c r="G28" s="127">
        <v>10200</v>
      </c>
      <c r="H28" s="137">
        <v>36500</v>
      </c>
      <c r="I28" s="126">
        <v>5300</v>
      </c>
      <c r="J28" s="127">
        <v>1700</v>
      </c>
      <c r="K28" s="156">
        <v>65100</v>
      </c>
      <c r="L28" s="157"/>
    </row>
    <row r="29" spans="1:12" x14ac:dyDescent="0.25">
      <c r="A29" s="2"/>
      <c r="B29" s="9" t="s">
        <v>3</v>
      </c>
      <c r="C29" s="80"/>
      <c r="D29" s="137">
        <v>3300</v>
      </c>
      <c r="E29" s="126">
        <v>7300</v>
      </c>
      <c r="F29" s="126">
        <v>3100</v>
      </c>
      <c r="G29" s="127">
        <v>1500</v>
      </c>
      <c r="H29" s="137">
        <v>5500</v>
      </c>
      <c r="I29" s="126">
        <v>800</v>
      </c>
      <c r="J29" s="127">
        <v>200</v>
      </c>
      <c r="K29" s="156">
        <v>2000</v>
      </c>
      <c r="L29" s="157"/>
    </row>
    <row r="30" spans="1:12" x14ac:dyDescent="0.25">
      <c r="A30" s="2"/>
      <c r="B30" s="9" t="s">
        <v>4</v>
      </c>
      <c r="C30" s="80"/>
      <c r="D30" s="138">
        <v>10600</v>
      </c>
      <c r="E30" s="128">
        <v>26200</v>
      </c>
      <c r="F30" s="128">
        <v>11300</v>
      </c>
      <c r="G30" s="129">
        <v>4800</v>
      </c>
      <c r="H30" s="138">
        <v>20200</v>
      </c>
      <c r="I30" s="128">
        <v>2500</v>
      </c>
      <c r="J30" s="129">
        <v>900</v>
      </c>
      <c r="K30" s="163">
        <v>22800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20</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1122.54</v>
      </c>
      <c r="H75" s="160" t="s">
        <v>29</v>
      </c>
      <c r="I75" s="141"/>
      <c r="J75" s="5" t="s">
        <v>136</v>
      </c>
    </row>
    <row r="76" spans="1:10" ht="15.75" x14ac:dyDescent="0.25">
      <c r="A76" s="101"/>
      <c r="B76" s="9" t="s">
        <v>137</v>
      </c>
      <c r="C76" s="80"/>
      <c r="D76" s="80"/>
      <c r="E76" s="161">
        <v>0.44</v>
      </c>
      <c r="F76" s="161"/>
      <c r="G76" s="61" t="s">
        <v>29</v>
      </c>
      <c r="H76" s="160" t="s">
        <v>29</v>
      </c>
      <c r="I76" s="141"/>
      <c r="J76" s="5" t="s">
        <v>138</v>
      </c>
    </row>
    <row r="77" spans="1:10" ht="15.75" x14ac:dyDescent="0.25">
      <c r="A77" s="101"/>
      <c r="B77" s="9" t="s">
        <v>139</v>
      </c>
      <c r="C77" s="80"/>
      <c r="D77" s="80"/>
      <c r="E77" s="161">
        <v>398.8</v>
      </c>
      <c r="F77" s="161"/>
      <c r="G77" s="61" t="s">
        <v>29</v>
      </c>
      <c r="H77" s="160" t="s">
        <v>29</v>
      </c>
      <c r="I77" s="141"/>
      <c r="J77" s="5" t="s">
        <v>140</v>
      </c>
    </row>
    <row r="78" spans="1:10" ht="15.75" x14ac:dyDescent="0.25">
      <c r="A78" s="101"/>
      <c r="B78" s="9" t="s">
        <v>141</v>
      </c>
      <c r="C78" s="80"/>
      <c r="D78" s="80"/>
      <c r="E78" s="160" t="s">
        <v>29</v>
      </c>
      <c r="F78" s="141"/>
      <c r="G78" s="136">
        <v>687.4</v>
      </c>
      <c r="H78" s="160" t="s">
        <v>29</v>
      </c>
      <c r="I78" s="141"/>
      <c r="J78" s="5" t="s">
        <v>138</v>
      </c>
    </row>
    <row r="79" spans="1:10" ht="15.75" x14ac:dyDescent="0.25">
      <c r="A79" s="101"/>
      <c r="B79" s="9" t="s">
        <v>142</v>
      </c>
      <c r="C79" s="80"/>
      <c r="D79" s="80"/>
      <c r="E79" s="161">
        <v>1.02</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9429335.9999999981</v>
      </c>
      <c r="H85" s="160" t="s">
        <v>29</v>
      </c>
      <c r="I85" s="140"/>
      <c r="J85" s="5" t="s">
        <v>143</v>
      </c>
    </row>
    <row r="86" spans="1:10" ht="15" hidden="1" customHeight="1" x14ac:dyDescent="0.25">
      <c r="A86" s="101"/>
      <c r="B86" s="9" t="s">
        <v>137</v>
      </c>
      <c r="C86" s="80"/>
      <c r="D86" s="80"/>
      <c r="E86" s="160">
        <f>'Input data'!E76*'Input data'!$E$12</f>
        <v>3695.9999999999991</v>
      </c>
      <c r="F86" s="140"/>
      <c r="G86" s="61" t="s">
        <v>29</v>
      </c>
      <c r="H86" s="160" t="s">
        <v>29</v>
      </c>
      <c r="I86" s="140"/>
      <c r="J86" s="5" t="s">
        <v>144</v>
      </c>
    </row>
    <row r="87" spans="1:10" ht="20.25" hidden="1" customHeight="1" x14ac:dyDescent="0.25">
      <c r="A87" s="101"/>
      <c r="B87" s="9" t="s">
        <v>139</v>
      </c>
      <c r="C87" s="80"/>
      <c r="D87" s="80"/>
      <c r="E87" s="160">
        <f>'Input data'!E77*'Input data'!$E$12/1000</f>
        <v>3349.9199999999996</v>
      </c>
      <c r="F87" s="140"/>
      <c r="G87" s="61" t="s">
        <v>29</v>
      </c>
      <c r="H87" s="160" t="s">
        <v>29</v>
      </c>
      <c r="I87" s="140"/>
      <c r="J87" s="5" t="s">
        <v>144</v>
      </c>
    </row>
    <row r="88" spans="1:10" ht="15.75" x14ac:dyDescent="0.25">
      <c r="A88" s="101"/>
      <c r="B88" s="9" t="s">
        <v>145</v>
      </c>
      <c r="C88" s="80"/>
      <c r="D88" s="80"/>
      <c r="E88" s="161">
        <v>4.0780015209785256</v>
      </c>
      <c r="F88" s="161"/>
      <c r="G88" s="61" t="s">
        <v>29</v>
      </c>
      <c r="H88" s="160" t="s">
        <v>29</v>
      </c>
      <c r="I88" s="140"/>
      <c r="J88" s="5" t="s">
        <v>144</v>
      </c>
    </row>
    <row r="89" spans="1:10" ht="14.25" hidden="1" x14ac:dyDescent="0.25">
      <c r="A89" s="101"/>
      <c r="B89" s="9" t="s">
        <v>141</v>
      </c>
      <c r="C89" s="80"/>
      <c r="D89" s="80"/>
      <c r="E89" s="160" t="s">
        <v>29</v>
      </c>
      <c r="F89" s="140"/>
      <c r="G89" s="61">
        <f>'Input data'!G78*'Input data'!$E$12</f>
        <v>5774159.9999999981</v>
      </c>
      <c r="H89" s="160" t="s">
        <v>29</v>
      </c>
      <c r="I89" s="140"/>
      <c r="J89" s="80" t="s">
        <v>144</v>
      </c>
    </row>
    <row r="90" spans="1:10" ht="14.25" hidden="1" x14ac:dyDescent="0.25">
      <c r="A90" s="101"/>
      <c r="B90" s="9" t="s">
        <v>142</v>
      </c>
      <c r="C90" s="80"/>
      <c r="D90" s="80"/>
      <c r="E90" s="160">
        <f>'Input data'!E79*'Input data'!$E$12</f>
        <v>8567.9999999999982</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0.18</v>
      </c>
      <c r="G105" s="5" t="s">
        <v>149</v>
      </c>
    </row>
    <row r="106" spans="1:15" hidden="1" x14ac:dyDescent="0.25">
      <c r="B106" s="9" t="s">
        <v>153</v>
      </c>
      <c r="C106" s="80"/>
      <c r="D106" s="80"/>
      <c r="E106" s="80"/>
      <c r="F106" s="135">
        <f>'Input data'!F105*'Input data'!$E$12</f>
        <v>1511.9999999999995</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32100</v>
      </c>
      <c r="E5" s="111">
        <f>'Input data'!E27</f>
        <v>82600</v>
      </c>
      <c r="F5" s="111">
        <f>'Input data'!F27</f>
        <v>35500</v>
      </c>
      <c r="G5" s="112">
        <f>'Input data'!G27</f>
        <v>13530</v>
      </c>
      <c r="H5" s="110">
        <f>'Input data'!H27</f>
        <v>64310</v>
      </c>
      <c r="I5" s="111">
        <f>'Input data'!I27</f>
        <v>7400</v>
      </c>
      <c r="J5" s="112">
        <f>'Input data'!J27</f>
        <v>2870</v>
      </c>
      <c r="K5" s="29">
        <f>'Input data'!K27</f>
        <v>48800</v>
      </c>
      <c r="L5" s="29">
        <f>SUM(D5:K5)</f>
        <v>287110</v>
      </c>
    </row>
    <row r="6" spans="2:12" x14ac:dyDescent="0.25">
      <c r="C6" s="21" t="s">
        <v>1</v>
      </c>
      <c r="D6" s="83">
        <f>'Input data'!D28</f>
        <v>21100</v>
      </c>
      <c r="E6" s="11">
        <f>'Input data'!E28</f>
        <v>48500</v>
      </c>
      <c r="F6" s="11">
        <f>'Input data'!F28</f>
        <v>20900</v>
      </c>
      <c r="G6" s="22">
        <f>'Input data'!G28</f>
        <v>10200</v>
      </c>
      <c r="H6" s="83">
        <f>'Input data'!H28</f>
        <v>36500</v>
      </c>
      <c r="I6" s="11">
        <f>'Input data'!I28</f>
        <v>5300</v>
      </c>
      <c r="J6" s="22">
        <f>'Input data'!J28</f>
        <v>1700</v>
      </c>
      <c r="K6" s="28">
        <f>'Input data'!K28</f>
        <v>65100</v>
      </c>
      <c r="L6" s="28">
        <f>SUM(D6:K6)</f>
        <v>209300</v>
      </c>
    </row>
    <row r="7" spans="2:12" x14ac:dyDescent="0.25">
      <c r="C7" s="30" t="s">
        <v>2</v>
      </c>
      <c r="D7" s="24">
        <f t="shared" ref="D7:K7" si="0">D6+D5</f>
        <v>53200</v>
      </c>
      <c r="E7" s="13">
        <f t="shared" si="0"/>
        <v>131100</v>
      </c>
      <c r="F7" s="13">
        <f t="shared" si="0"/>
        <v>56400</v>
      </c>
      <c r="G7" s="25">
        <f t="shared" si="0"/>
        <v>23730</v>
      </c>
      <c r="H7" s="24">
        <f t="shared" si="0"/>
        <v>100810</v>
      </c>
      <c r="I7" s="13">
        <f t="shared" si="0"/>
        <v>12700</v>
      </c>
      <c r="J7" s="25">
        <f t="shared" si="0"/>
        <v>4570</v>
      </c>
      <c r="K7" s="27">
        <f t="shared" si="0"/>
        <v>113900</v>
      </c>
      <c r="L7" s="27">
        <f t="shared" ref="L7:L17" si="1">SUM(D7:K7)</f>
        <v>496410</v>
      </c>
    </row>
    <row r="8" spans="2:12" x14ac:dyDescent="0.25">
      <c r="C8" s="21" t="s">
        <v>3</v>
      </c>
      <c r="D8" s="83">
        <f>'Input data'!D29</f>
        <v>3300</v>
      </c>
      <c r="E8" s="11">
        <f>'Input data'!E29</f>
        <v>7300</v>
      </c>
      <c r="F8" s="11">
        <f>'Input data'!F29</f>
        <v>3100</v>
      </c>
      <c r="G8" s="22">
        <f>'Input data'!G29</f>
        <v>1500</v>
      </c>
      <c r="H8" s="83">
        <f>'Input data'!H29</f>
        <v>5500</v>
      </c>
      <c r="I8" s="11">
        <f>'Input data'!I29</f>
        <v>800</v>
      </c>
      <c r="J8" s="22">
        <f>'Input data'!J29</f>
        <v>200</v>
      </c>
      <c r="K8" s="28">
        <f>'Input data'!K29</f>
        <v>2000</v>
      </c>
      <c r="L8" s="28">
        <f>SUM(D8:K8)</f>
        <v>23700</v>
      </c>
    </row>
    <row r="9" spans="2:12" x14ac:dyDescent="0.25">
      <c r="C9" s="21" t="s">
        <v>4</v>
      </c>
      <c r="D9" s="83">
        <f>'Input data'!D30</f>
        <v>10600</v>
      </c>
      <c r="E9" s="11">
        <f>'Input data'!E30</f>
        <v>26200</v>
      </c>
      <c r="F9" s="11">
        <f>'Input data'!F30</f>
        <v>11300</v>
      </c>
      <c r="G9" s="22">
        <f>'Input data'!G30</f>
        <v>4800</v>
      </c>
      <c r="H9" s="83">
        <f>'Input data'!H30</f>
        <v>20200</v>
      </c>
      <c r="I9" s="11">
        <f>'Input data'!I30</f>
        <v>2500</v>
      </c>
      <c r="J9" s="22">
        <f>'Input data'!J30</f>
        <v>900</v>
      </c>
      <c r="K9" s="28">
        <f>'Input data'!K30</f>
        <v>22800</v>
      </c>
      <c r="L9" s="28">
        <f>SUM(D9:K9)</f>
        <v>99300</v>
      </c>
    </row>
    <row r="10" spans="2:12" x14ac:dyDescent="0.25">
      <c r="C10" s="30" t="s">
        <v>5</v>
      </c>
      <c r="D10" s="24">
        <f t="shared" ref="D10:K10" si="2">D7+D8+D9</f>
        <v>67100</v>
      </c>
      <c r="E10" s="13">
        <f t="shared" si="2"/>
        <v>164600</v>
      </c>
      <c r="F10" s="13">
        <f t="shared" si="2"/>
        <v>70800</v>
      </c>
      <c r="G10" s="25">
        <f t="shared" si="2"/>
        <v>30030</v>
      </c>
      <c r="H10" s="24">
        <f t="shared" si="2"/>
        <v>126510</v>
      </c>
      <c r="I10" s="13">
        <f t="shared" si="2"/>
        <v>16000</v>
      </c>
      <c r="J10" s="25">
        <f t="shared" si="2"/>
        <v>5670</v>
      </c>
      <c r="K10" s="27">
        <f t="shared" si="2"/>
        <v>138700</v>
      </c>
      <c r="L10" s="27">
        <f t="shared" si="1"/>
        <v>619410</v>
      </c>
    </row>
    <row r="11" spans="2:12" x14ac:dyDescent="0.25">
      <c r="C11" s="21" t="s">
        <v>86</v>
      </c>
      <c r="D11" s="26">
        <f>D$10*('Input data'!$E$34/100)</f>
        <v>10065</v>
      </c>
      <c r="E11" s="11">
        <f>E$10*('Input data'!$E$34/100)</f>
        <v>24690</v>
      </c>
      <c r="F11" s="11">
        <f>F$10*('Input data'!$E$34/100)</f>
        <v>10620</v>
      </c>
      <c r="G11" s="22">
        <f>G$10*('Input data'!$E$34/100)</f>
        <v>4504.5</v>
      </c>
      <c r="H11" s="26">
        <f>H$10*('Input data'!$E$34/100)</f>
        <v>18976.5</v>
      </c>
      <c r="I11" s="11">
        <f>I$10*('Input data'!$E$34/100)</f>
        <v>2400</v>
      </c>
      <c r="J11" s="22">
        <f>J$10*('Input data'!$E$34/100)</f>
        <v>850.5</v>
      </c>
      <c r="K11" s="28">
        <f>K$10*('Input data'!$E$34/100)</f>
        <v>20805</v>
      </c>
      <c r="L11" s="28">
        <f t="shared" si="1"/>
        <v>92911.5</v>
      </c>
    </row>
    <row r="12" spans="2:12" x14ac:dyDescent="0.25">
      <c r="C12" s="30" t="s">
        <v>6</v>
      </c>
      <c r="D12" s="204">
        <f>SUM(D10:G11)</f>
        <v>382409.5</v>
      </c>
      <c r="E12" s="205"/>
      <c r="F12" s="205"/>
      <c r="G12" s="206"/>
      <c r="H12" s="204">
        <f>SUM(H10:J11)</f>
        <v>170407</v>
      </c>
      <c r="I12" s="205"/>
      <c r="J12" s="206"/>
      <c r="K12" s="27">
        <f>K10+K11</f>
        <v>159505</v>
      </c>
      <c r="L12" s="27">
        <f t="shared" si="1"/>
        <v>712321.5</v>
      </c>
    </row>
    <row r="13" spans="2:12" x14ac:dyDescent="0.25">
      <c r="C13" s="21" t="s">
        <v>56</v>
      </c>
      <c r="D13" s="189">
        <f>D12*'Input data'!$H$37/100</f>
        <v>1912.0474999999999</v>
      </c>
      <c r="E13" s="166"/>
      <c r="F13" s="166"/>
      <c r="G13" s="190"/>
      <c r="H13" s="189">
        <f>H12*'Input data'!$H$37/100</f>
        <v>852.03499999999997</v>
      </c>
      <c r="I13" s="166"/>
      <c r="J13" s="190"/>
      <c r="K13" s="28">
        <f>K12*'Input data'!$H$37/100</f>
        <v>797.52499999999998</v>
      </c>
      <c r="L13" s="28">
        <f t="shared" si="1"/>
        <v>3561.6075000000001</v>
      </c>
    </row>
    <row r="14" spans="2:12" x14ac:dyDescent="0.25">
      <c r="C14" s="21" t="s">
        <v>57</v>
      </c>
      <c r="D14" s="189">
        <f>'Input data'!$H$39/12*SUM($D$28:$G$30)+'Input data'!$H$40/100*1/12*$D$27</f>
        <v>734.96880091258708</v>
      </c>
      <c r="E14" s="166"/>
      <c r="F14" s="166"/>
      <c r="G14" s="190"/>
      <c r="H14" s="189">
        <f>'Input data'!$H$39/12*SUM($H$28:$J$30)+'Input data'!$H$40/100*1/12*$H$27</f>
        <v>1353.8400221718398</v>
      </c>
      <c r="I14" s="166"/>
      <c r="J14" s="190"/>
      <c r="K14" s="28">
        <f>'Input data'!$H$39/12*SUM($K$28:$K$30)+'Input data'!$H$40/100*1/12*$K$27</f>
        <v>0</v>
      </c>
      <c r="L14" s="28">
        <f t="shared" si="1"/>
        <v>2088.8088230844269</v>
      </c>
    </row>
    <row r="15" spans="2:12" x14ac:dyDescent="0.25">
      <c r="C15" s="21" t="s">
        <v>58</v>
      </c>
      <c r="D15" s="189">
        <f>'Input data'!$H$38/12*$D$23+D12*'Input data'!$H$41/100</f>
        <v>8048.19</v>
      </c>
      <c r="E15" s="166"/>
      <c r="F15" s="166"/>
      <c r="G15" s="190"/>
      <c r="H15" s="189">
        <f>'Input data'!$H$38/12*$H$23+H12*'Input data'!$H$41/100</f>
        <v>3608.14</v>
      </c>
      <c r="I15" s="166"/>
      <c r="J15" s="190"/>
      <c r="K15" s="28">
        <f>'Input data'!$H$38/12*$K$23+K12*'Input data'!$H$41/100</f>
        <v>3190.1</v>
      </c>
      <c r="L15" s="28">
        <f t="shared" si="1"/>
        <v>14846.43</v>
      </c>
    </row>
    <row r="16" spans="2:12" x14ac:dyDescent="0.25">
      <c r="C16" s="31" t="s">
        <v>47</v>
      </c>
      <c r="D16" s="189">
        <f>D12*'Input data'!$H$42/100</f>
        <v>26768.665000000001</v>
      </c>
      <c r="E16" s="166">
        <f>E12*'Input data'!$H$42/100</f>
        <v>0</v>
      </c>
      <c r="F16" s="166">
        <f>F12*'Input data'!$H$42/100</f>
        <v>0</v>
      </c>
      <c r="G16" s="190">
        <f>G12*'Input data'!$H$42/100</f>
        <v>0</v>
      </c>
      <c r="H16" s="189">
        <f>H12*'Input data'!$H$42/100</f>
        <v>11928.49</v>
      </c>
      <c r="I16" s="166">
        <f>I12*'Input data'!$H$42/100</f>
        <v>0</v>
      </c>
      <c r="J16" s="190">
        <f>J12*'Input data'!$H$42/100</f>
        <v>0</v>
      </c>
      <c r="K16" s="28">
        <f>K12*'Input data'!$H$42/100</f>
        <v>11165.35</v>
      </c>
      <c r="L16" s="28">
        <f t="shared" si="1"/>
        <v>49862.504999999997</v>
      </c>
    </row>
    <row r="17" spans="2:12" x14ac:dyDescent="0.25">
      <c r="C17" s="21" t="s">
        <v>33</v>
      </c>
      <c r="D17" s="189">
        <f>D12*('Input data'!$D$48-1)</f>
        <v>60857.565612800048</v>
      </c>
      <c r="E17" s="166">
        <f>E12*('Input data'!$D$48-1)</f>
        <v>0</v>
      </c>
      <c r="F17" s="166">
        <f>F12*('Input data'!$D$48-1)</f>
        <v>0</v>
      </c>
      <c r="G17" s="190">
        <f>G12*('Input data'!$D$48-1)</f>
        <v>0</v>
      </c>
      <c r="H17" s="189">
        <f>H12*('Input data'!$D$48-1)</f>
        <v>27118.978956800023</v>
      </c>
      <c r="I17" s="166">
        <f>I12*('Input data'!$D$48-1)</f>
        <v>0</v>
      </c>
      <c r="J17" s="190">
        <f>J12*('Input data'!$D$48-1)</f>
        <v>0</v>
      </c>
      <c r="K17" s="28">
        <f>K12*('Input data'!$D$48-1)</f>
        <v>25384.008512000022</v>
      </c>
      <c r="L17" s="28">
        <f t="shared" si="1"/>
        <v>113360.55308160008</v>
      </c>
    </row>
    <row r="18" spans="2:12" x14ac:dyDescent="0.25">
      <c r="C18" s="23" t="s">
        <v>15</v>
      </c>
      <c r="D18" s="191">
        <f>SUM(D12:G17)</f>
        <v>480730.93691371265</v>
      </c>
      <c r="E18" s="192"/>
      <c r="F18" s="192"/>
      <c r="G18" s="193"/>
      <c r="H18" s="191">
        <f>SUM(H12:J17)</f>
        <v>215268.48397897187</v>
      </c>
      <c r="I18" s="207"/>
      <c r="J18" s="208"/>
      <c r="K18" s="15">
        <f>SUM(K12:K17)</f>
        <v>200041.98351200004</v>
      </c>
      <c r="L18" s="15">
        <f>SUM(L12:L17)</f>
        <v>896041.40440468467</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1600</v>
      </c>
      <c r="E23" s="195"/>
      <c r="F23" s="195"/>
      <c r="G23" s="196"/>
      <c r="H23" s="194">
        <f>'Input data'!$G$54*'Input data'!$F$56/1000</f>
        <v>800</v>
      </c>
      <c r="I23" s="195"/>
      <c r="J23" s="196"/>
      <c r="K23" s="19">
        <f>'Input data'!$H$54*'Input data'!$F$56/1000</f>
        <v>0</v>
      </c>
      <c r="L23" s="19">
        <f t="shared" ref="L23:L32" si="3">SUM(D23:K23)</f>
        <v>2400</v>
      </c>
    </row>
    <row r="24" spans="2:12" x14ac:dyDescent="0.25">
      <c r="C24" s="17" t="s">
        <v>40</v>
      </c>
      <c r="D24" s="197">
        <f>(SUM(D10:D11)*'Input data'!$F$59+SUM(E10:G11)*'Input data'!$F$60)/100/('Input data'!$F$66/100)</f>
        <v>12746.983333333334</v>
      </c>
      <c r="E24" s="144"/>
      <c r="F24" s="144"/>
      <c r="G24" s="198"/>
      <c r="H24" s="197">
        <f>(SUM(H10:H11)*'Input data'!$F$61+SUM(I10:J11)*'Input data'!$F$62)/100/('Input data'!$F$66/100)</f>
        <v>6477.2791666666662</v>
      </c>
      <c r="I24" s="144"/>
      <c r="J24" s="198"/>
      <c r="K24" s="14">
        <f>SUM(K10:K11)*'Input data'!$F$63/100/('Input data'!$F$66/100)</f>
        <v>2658.4166666666665</v>
      </c>
      <c r="L24" s="14">
        <f t="shared" si="3"/>
        <v>21882.679166666669</v>
      </c>
    </row>
    <row r="25" spans="2:12" x14ac:dyDescent="0.25">
      <c r="C25" s="17" t="s">
        <v>41</v>
      </c>
      <c r="D25" s="197">
        <f>D12*'Input data'!$F$69/100</f>
        <v>1912.0474999999999</v>
      </c>
      <c r="E25" s="144"/>
      <c r="F25" s="144"/>
      <c r="G25" s="198"/>
      <c r="H25" s="197">
        <f>H12*'Input data'!$F$69/100</f>
        <v>852.03499999999997</v>
      </c>
      <c r="I25" s="144"/>
      <c r="J25" s="198"/>
      <c r="K25" s="14">
        <f>K12*'Input data'!$F$69/100</f>
        <v>797.52499999999998</v>
      </c>
      <c r="L25" s="14">
        <f t="shared" si="3"/>
        <v>3561.6075000000001</v>
      </c>
    </row>
    <row r="26" spans="2:12" x14ac:dyDescent="0.25">
      <c r="C26" s="18" t="s">
        <v>17</v>
      </c>
      <c r="D26" s="191">
        <f>SUM(D23:G25)</f>
        <v>16259.030833333334</v>
      </c>
      <c r="E26" s="192"/>
      <c r="F26" s="192"/>
      <c r="G26" s="193"/>
      <c r="H26" s="191">
        <f>SUM(H23:J25)</f>
        <v>8129.3141666666661</v>
      </c>
      <c r="I26" s="192"/>
      <c r="J26" s="193"/>
      <c r="K26" s="15">
        <f>SUM(K23:K25)</f>
        <v>3455.9416666666666</v>
      </c>
      <c r="L26" s="15">
        <f t="shared" si="3"/>
        <v>27844.286666666667</v>
      </c>
    </row>
    <row r="27" spans="2:12" x14ac:dyDescent="0.25">
      <c r="C27" s="16" t="s">
        <v>42</v>
      </c>
      <c r="D27" s="194">
        <v>0</v>
      </c>
      <c r="E27" s="195"/>
      <c r="F27" s="195"/>
      <c r="G27" s="196"/>
      <c r="H27" s="194">
        <f>'Input data'!$G$85*'Input data'!$F$93/1000</f>
        <v>62674.657064248313</v>
      </c>
      <c r="I27" s="195"/>
      <c r="J27" s="196"/>
      <c r="K27" s="19">
        <v>0</v>
      </c>
      <c r="L27" s="19">
        <f t="shared" si="3"/>
        <v>62674.657064248313</v>
      </c>
    </row>
    <row r="28" spans="2:12" x14ac:dyDescent="0.25">
      <c r="C28" s="17" t="s">
        <v>43</v>
      </c>
      <c r="D28" s="197">
        <f>('Input data'!$E$86*'Input data'!$F$94+'Input data'!$E$87*'Input data'!$F$95+'Input data'!$E$88*'Input data'!$F$96)/1000</f>
        <v>6891.8256109510448</v>
      </c>
      <c r="E28" s="144"/>
      <c r="F28" s="144"/>
      <c r="G28" s="198"/>
      <c r="H28" s="197">
        <v>0</v>
      </c>
      <c r="I28" s="144"/>
      <c r="J28" s="198"/>
      <c r="K28" s="14">
        <v>0</v>
      </c>
      <c r="L28" s="14">
        <f t="shared" si="3"/>
        <v>6891.8256109510448</v>
      </c>
    </row>
    <row r="29" spans="2:12" x14ac:dyDescent="0.25">
      <c r="C29" s="17" t="s">
        <v>44</v>
      </c>
      <c r="D29" s="197">
        <v>0</v>
      </c>
      <c r="E29" s="144"/>
      <c r="F29" s="144"/>
      <c r="G29" s="198"/>
      <c r="H29" s="197">
        <f>'Input data'!$G$89*'Input data'!$F$97/1000</f>
        <v>577.41599999999994</v>
      </c>
      <c r="I29" s="144"/>
      <c r="J29" s="198"/>
      <c r="K29" s="14">
        <v>0</v>
      </c>
      <c r="L29" s="14">
        <f t="shared" si="3"/>
        <v>577.41599999999994</v>
      </c>
    </row>
    <row r="30" spans="2:12" x14ac:dyDescent="0.25">
      <c r="C30" s="17" t="s">
        <v>45</v>
      </c>
      <c r="D30" s="197">
        <f>('Input data'!$E$90*'Input data'!$F$98+'Input data'!$E$88*'Input data'!$F$99)/1000</f>
        <v>1927.7999999999995</v>
      </c>
      <c r="E30" s="144"/>
      <c r="F30" s="144"/>
      <c r="G30" s="198"/>
      <c r="H30" s="197">
        <v>0</v>
      </c>
      <c r="I30" s="144"/>
      <c r="J30" s="198"/>
      <c r="K30" s="14">
        <v>0</v>
      </c>
      <c r="L30" s="14">
        <f t="shared" si="3"/>
        <v>1927.7999999999995</v>
      </c>
    </row>
    <row r="31" spans="2:12" x14ac:dyDescent="0.25">
      <c r="C31" s="18" t="s">
        <v>18</v>
      </c>
      <c r="D31" s="191">
        <f>SUM(D27:G30)</f>
        <v>8819.625610951045</v>
      </c>
      <c r="E31" s="192"/>
      <c r="F31" s="192"/>
      <c r="G31" s="193"/>
      <c r="H31" s="191">
        <f>SUM(H27:J30)</f>
        <v>63252.07306424831</v>
      </c>
      <c r="I31" s="192"/>
      <c r="J31" s="193"/>
      <c r="K31" s="15">
        <f>SUM(K27:K30)</f>
        <v>0</v>
      </c>
      <c r="L31" s="15">
        <f t="shared" si="3"/>
        <v>72071.698675199354</v>
      </c>
    </row>
    <row r="32" spans="2:12" x14ac:dyDescent="0.25">
      <c r="C32" s="18" t="s">
        <v>16</v>
      </c>
      <c r="D32" s="191">
        <f>D31+D26</f>
        <v>25078.656444284381</v>
      </c>
      <c r="E32" s="192"/>
      <c r="F32" s="192"/>
      <c r="G32" s="193"/>
      <c r="H32" s="191">
        <f>H26+H31</f>
        <v>71381.387230914974</v>
      </c>
      <c r="I32" s="192"/>
      <c r="J32" s="193"/>
      <c r="K32" s="15">
        <f>K26+K31</f>
        <v>3455.9416666666666</v>
      </c>
      <c r="L32" s="15">
        <f t="shared" si="3"/>
        <v>99915.98534186602</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77722.28217096455</v>
      </c>
    </row>
    <row r="42" spans="2:12" x14ac:dyDescent="0.25">
      <c r="C42" s="21" t="s">
        <v>20</v>
      </c>
      <c r="D42" s="37">
        <f>$L$32</f>
        <v>99915.98534186602</v>
      </c>
    </row>
    <row r="43" spans="2:12" x14ac:dyDescent="0.25">
      <c r="C43" s="21" t="s">
        <v>92</v>
      </c>
      <c r="D43" s="37">
        <f>$L$37</f>
        <v>0</v>
      </c>
    </row>
    <row r="44" spans="2:12" x14ac:dyDescent="0.25">
      <c r="C44" s="23" t="s">
        <v>21</v>
      </c>
      <c r="D44" s="39">
        <f>SUM(D41:D43)</f>
        <v>177638.26751283056</v>
      </c>
    </row>
    <row r="45" spans="2:12" x14ac:dyDescent="0.25">
      <c r="D45" s="3"/>
    </row>
    <row r="46" spans="2:12" x14ac:dyDescent="0.25">
      <c r="D46" s="3"/>
    </row>
    <row r="47" spans="2:12" ht="18" x14ac:dyDescent="0.35">
      <c r="C47" s="12" t="s">
        <v>110</v>
      </c>
      <c r="D47" s="40">
        <f>$D$44/'Input data'!$F$19</f>
        <v>110.53724864151849</v>
      </c>
    </row>
    <row r="48" spans="2:12" ht="18" x14ac:dyDescent="0.35">
      <c r="C48" s="12" t="s">
        <v>102</v>
      </c>
      <c r="D48" s="41">
        <f>$D$44/'Input data'!$F$20</f>
        <v>166.18993919749548</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62.473460522275765</v>
      </c>
      <c r="F3" t="s">
        <v>38</v>
      </c>
      <c r="G3" s="44" t="s">
        <v>108</v>
      </c>
      <c r="H3" s="50">
        <f>D10+D12</f>
        <v>58.635437017978028</v>
      </c>
    </row>
    <row r="4" spans="2:8" x14ac:dyDescent="0.25">
      <c r="B4" s="89"/>
      <c r="C4" s="90" t="s">
        <v>34</v>
      </c>
      <c r="D4" s="91">
        <f>'Detailed cost results'!$D$18/('Input data'!$F$20*'Input data'!$E$8)</f>
        <v>39.011058822543674</v>
      </c>
      <c r="F4" t="s">
        <v>38</v>
      </c>
      <c r="G4" t="str">
        <f>IF('Input data'!F103="Yes",'Summarised cost results'!G3,'Summarised cost results'!C10)</f>
        <v>Natural gas cost</v>
      </c>
      <c r="H4" s="51">
        <f>IF('Input data'!F103="Yes",H3,D10)</f>
        <v>58.635437017978028</v>
      </c>
    </row>
    <row r="5" spans="2:8" x14ac:dyDescent="0.25">
      <c r="B5" s="92"/>
      <c r="C5" s="90" t="s">
        <v>35</v>
      </c>
      <c r="D5" s="91">
        <f>'Detailed cost results'!$D$26/'Input data'!$F$20</f>
        <v>15.211178218717446</v>
      </c>
    </row>
    <row r="6" spans="2:8" x14ac:dyDescent="0.25">
      <c r="B6" s="92"/>
      <c r="C6" s="90" t="s">
        <v>36</v>
      </c>
      <c r="D6" s="91">
        <f>'Detailed cost results'!$D$31/'Input data'!$F$20</f>
        <v>8.2512234810146428</v>
      </c>
    </row>
    <row r="7" spans="2:8" x14ac:dyDescent="0.25">
      <c r="B7" s="212" t="s">
        <v>38</v>
      </c>
      <c r="C7" s="210"/>
      <c r="D7" s="98">
        <f>SUM(D8:D12)</f>
        <v>84.249963397560975</v>
      </c>
    </row>
    <row r="8" spans="2:8" x14ac:dyDescent="0.25">
      <c r="B8" s="89"/>
      <c r="C8" s="90" t="s">
        <v>34</v>
      </c>
      <c r="D8" s="93">
        <f>'Detailed cost results'!$H$18/('Input data'!$F$20*'Input data'!$E$8)</f>
        <v>17.468922522560305</v>
      </c>
    </row>
    <row r="9" spans="2:8" x14ac:dyDescent="0.25">
      <c r="B9" s="94"/>
      <c r="C9" s="90" t="s">
        <v>35</v>
      </c>
      <c r="D9" s="93">
        <f>'Detailed cost results'!$H$26/'Input data'!$F$20</f>
        <v>7.6054008294023152</v>
      </c>
    </row>
    <row r="10" spans="2:8" x14ac:dyDescent="0.25">
      <c r="B10" s="94"/>
      <c r="C10" s="90" t="s">
        <v>65</v>
      </c>
      <c r="D10" s="91">
        <f>'Detailed cost results'!$H$27/'Input data'!$F$20</f>
        <v>58.635437017978028</v>
      </c>
    </row>
    <row r="11" spans="2:8" x14ac:dyDescent="0.25">
      <c r="B11" s="94"/>
      <c r="C11" s="90" t="s">
        <v>111</v>
      </c>
      <c r="D11" s="91">
        <f>('Detailed cost results'!$H$31-'Detailed cost results'!$H$27)/'Input data'!$F$20</f>
        <v>0.5402030276203269</v>
      </c>
    </row>
    <row r="12" spans="2:8" x14ac:dyDescent="0.25">
      <c r="B12" s="94"/>
      <c r="C12" s="90" t="s">
        <v>92</v>
      </c>
      <c r="D12" s="91">
        <f>'Detailed cost results'!$H$37/'Input data'!$F$20</f>
        <v>0</v>
      </c>
    </row>
    <row r="13" spans="2:8" x14ac:dyDescent="0.25">
      <c r="B13" s="212" t="s">
        <v>12</v>
      </c>
      <c r="C13" s="210"/>
      <c r="D13" s="99">
        <f>SUM(D14:D16)</f>
        <v>19.466515277658747</v>
      </c>
    </row>
    <row r="14" spans="2:8" x14ac:dyDescent="0.25">
      <c r="B14" s="89"/>
      <c r="C14" s="90" t="s">
        <v>34</v>
      </c>
      <c r="D14" s="95">
        <f>'Detailed cost results'!$K$18/('Input data'!$F$20*'Input data'!$E$8)</f>
        <v>16.233300140543427</v>
      </c>
    </row>
    <row r="15" spans="2:8" x14ac:dyDescent="0.25">
      <c r="B15" s="94"/>
      <c r="C15" s="90" t="s">
        <v>35</v>
      </c>
      <c r="D15" s="95">
        <f>'Detailed cost results'!$K$26/'Input data'!$F$20</f>
        <v>3.2332151371153208</v>
      </c>
    </row>
    <row r="16" spans="2:8" x14ac:dyDescent="0.25">
      <c r="B16" s="94"/>
      <c r="C16" s="90" t="s">
        <v>36</v>
      </c>
      <c r="D16" s="95">
        <f>'Detailed cost results'!$K$31/'Input data'!$F$20</f>
        <v>0</v>
      </c>
    </row>
    <row r="17" spans="2:4" x14ac:dyDescent="0.25">
      <c r="B17" s="211" t="s">
        <v>37</v>
      </c>
      <c r="C17" s="211"/>
      <c r="D17" s="100">
        <f>D13+D7+D3</f>
        <v>166.18993919749548</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155.28294697464835</v>
      </c>
      <c r="G5" s="54">
        <f>$E$5*('Summarised cost results'!$D$4+'Summarised cost results'!$D$8+'Summarised cost results'!$D$14)+'Summarised cost results'!$D$17</f>
        <v>191.63958771747207</v>
      </c>
      <c r="H5" s="86">
        <f>(MIN(F5:G5)-'Summarised cost results'!$D$17)/'Summarised cost results'!$D$17</f>
        <v>-6.5629678159311186E-2</v>
      </c>
      <c r="I5" s="86">
        <f>(MAX(F5:G5)-'Summarised cost results'!$D$17)/'Summarised cost results'!$D$17</f>
        <v>0.15313591570505927</v>
      </c>
      <c r="J5" s="43">
        <f>MIN(F5:G5)</f>
        <v>155.28294697464835</v>
      </c>
      <c r="K5" s="59">
        <f>MAX(F5:G5)-MIN(F5:G5)</f>
        <v>36.356640742823714</v>
      </c>
    </row>
    <row r="6" spans="2:11" x14ac:dyDescent="0.25">
      <c r="C6" s="9" t="s">
        <v>35</v>
      </c>
      <c r="D6" s="55">
        <f>'Input data'!$D$113</f>
        <v>-0.2</v>
      </c>
      <c r="E6" s="55">
        <f>'Input data'!$E$113</f>
        <v>0.2</v>
      </c>
      <c r="F6" s="56">
        <f>$D$6*('Summarised cost results'!$D$5+'Summarised cost results'!$D$9+'Summarised cost results'!$D$15)+'Summarised cost results'!$D$17</f>
        <v>160.97998036044845</v>
      </c>
      <c r="G6" s="56">
        <f>$E$6*('Summarised cost results'!$D$5+'Summarised cost results'!$D$9+'Summarised cost results'!$D$15)+'Summarised cost results'!$D$17</f>
        <v>171.3998980345425</v>
      </c>
      <c r="H6" s="87">
        <f>(MIN(F6:G6)-'Summarised cost results'!$D$17)/'Summarised cost results'!$D$17</f>
        <v>-3.1349423811122865E-2</v>
      </c>
      <c r="I6" s="87">
        <f>(MAX(F6:G6)-'Summarised cost results'!$D$17)/'Summarised cost results'!$D$17</f>
        <v>3.1349423811122865E-2</v>
      </c>
      <c r="J6" s="43">
        <f>MIN(F6:G6)</f>
        <v>160.97998036044845</v>
      </c>
      <c r="K6" s="59">
        <f>MAX(F6:G6)-MIN(F6:G6)</f>
        <v>10.419917674094052</v>
      </c>
    </row>
    <row r="7" spans="2:11" x14ac:dyDescent="0.25">
      <c r="C7" s="9" t="s">
        <v>65</v>
      </c>
      <c r="D7" s="55">
        <f>'Input data'!$D$114</f>
        <v>-0.3</v>
      </c>
      <c r="E7" s="55">
        <f>'Input data'!$E$114</f>
        <v>0.3</v>
      </c>
      <c r="F7" s="56">
        <f>$D$7*'Detailed cost results'!$L$27/'Input data'!$F$20+'Summarised cost results'!$D$17</f>
        <v>148.59930809210206</v>
      </c>
      <c r="G7" s="56">
        <f>$E$7*'Detailed cost results'!$L$27/'Input data'!$F$20+'Summarised cost results'!$D$17</f>
        <v>183.78057030288889</v>
      </c>
      <c r="H7" s="87">
        <f>(MIN(F7:G7)-'Summarised cost results'!$D$17)/'Summarised cost results'!$D$17</f>
        <v>-0.10584654636938762</v>
      </c>
      <c r="I7" s="87">
        <f>(MAX(F7:G7)-'Summarised cost results'!$D$17)/'Summarised cost results'!$D$17</f>
        <v>0.10584654636938762</v>
      </c>
      <c r="J7" s="43">
        <f t="shared" ref="J7:J16" si="0">MIN(F7:G7)</f>
        <v>148.59930809210206</v>
      </c>
      <c r="K7" s="59">
        <f>MAX(F7:G7)-MIN(F7:G7)</f>
        <v>35.181262210786826</v>
      </c>
    </row>
    <row r="8" spans="2:11" x14ac:dyDescent="0.25">
      <c r="C8" s="45" t="s">
        <v>112</v>
      </c>
      <c r="D8" s="57">
        <f>'Input data'!$D$113</f>
        <v>-0.2</v>
      </c>
      <c r="E8" s="57">
        <f>'Input data'!$E$113</f>
        <v>0.2</v>
      </c>
      <c r="F8" s="58">
        <f>$D$8*('Summarised cost results'!$D$6+'Summarised cost results'!$D$11+'Summarised cost results'!$D$16)+'Summarised cost results'!$D$17</f>
        <v>164.43165389576848</v>
      </c>
      <c r="G8" s="58">
        <f>$E$8*('Summarised cost results'!$D$6+'Summarised cost results'!$D$11+'Summarised cost results'!$D$16)+'Summarised cost results'!$D$17</f>
        <v>167.94822449922248</v>
      </c>
      <c r="H8" s="88">
        <f>(MIN(F8:G8)-'Summarised cost results'!$D$17)/'Summarised cost results'!$D$17</f>
        <v>-1.0579974396870695E-2</v>
      </c>
      <c r="I8" s="88">
        <f>(MAX(F8:G8)-'Summarised cost results'!$D$17)/'Summarised cost results'!$D$17</f>
        <v>1.0579974396870695E-2</v>
      </c>
      <c r="J8" s="43">
        <f t="shared" si="0"/>
        <v>164.43165389576848</v>
      </c>
      <c r="K8" s="59">
        <f t="shared" ref="K8:K16" si="1">MAX(F8:G8)-MIN(F8:G8)</f>
        <v>3.5165706034539994</v>
      </c>
    </row>
    <row r="9" spans="2:11" ht="18" x14ac:dyDescent="0.25">
      <c r="C9" s="10" t="s">
        <v>109</v>
      </c>
      <c r="D9" s="55">
        <f>'Input data'!$D$115</f>
        <v>-0.3</v>
      </c>
      <c r="E9" s="55">
        <f>'Input data'!$E$115</f>
        <v>0.3</v>
      </c>
      <c r="F9" s="59">
        <f>$D$9*'Summarised cost results'!$D3+'Summarised cost results'!$D$17</f>
        <v>147.44790104081275</v>
      </c>
      <c r="G9" s="59">
        <f>$E$9*'Summarised cost results'!$D3+'Summarised cost results'!$D$17</f>
        <v>184.9319773541782</v>
      </c>
      <c r="H9" s="85">
        <f>(MIN(F9:G9)-'Summarised cost results'!$D$17)/'Summarised cost results'!$D$17</f>
        <v>-0.11277480602727828</v>
      </c>
      <c r="I9" s="85">
        <f>(MAX(F9:G9)-'Summarised cost results'!$D$17)/'Summarised cost results'!$D$17</f>
        <v>0.11277480602727828</v>
      </c>
      <c r="J9" s="121">
        <f t="shared" si="0"/>
        <v>147.44790104081275</v>
      </c>
      <c r="K9" s="54">
        <f t="shared" si="1"/>
        <v>37.484076313365449</v>
      </c>
    </row>
    <row r="10" spans="2:11" x14ac:dyDescent="0.25">
      <c r="C10" s="10" t="s">
        <v>38</v>
      </c>
      <c r="D10" s="55">
        <f>'Input data'!$D$116</f>
        <v>-0.3</v>
      </c>
      <c r="E10" s="55">
        <f>'Input data'!$E$116</f>
        <v>0.3</v>
      </c>
      <c r="F10" s="59">
        <f>$D$10*'Summarised cost results'!$D7+'Summarised cost results'!$D$17</f>
        <v>140.91495017822717</v>
      </c>
      <c r="G10" s="59">
        <f>$E$10*'Summarised cost results'!$D7+'Summarised cost results'!$D$17</f>
        <v>191.46492821676378</v>
      </c>
      <c r="H10" s="85">
        <f>(MIN(F10:G10)-'Summarised cost results'!$D$17)/'Summarised cost results'!$D$17</f>
        <v>-0.15208495256281557</v>
      </c>
      <c r="I10" s="85">
        <f>(MAX(F10:G10)-'Summarised cost results'!$D$17)/'Summarised cost results'!$D$17</f>
        <v>0.15208495256281557</v>
      </c>
      <c r="J10" s="43">
        <f t="shared" si="0"/>
        <v>140.91495017822717</v>
      </c>
      <c r="K10" s="56">
        <f t="shared" si="1"/>
        <v>50.549978038536608</v>
      </c>
    </row>
    <row r="11" spans="2:11" x14ac:dyDescent="0.25">
      <c r="C11" s="9" t="s">
        <v>12</v>
      </c>
      <c r="D11" s="55">
        <f>'Input data'!$D$117</f>
        <v>-0.3</v>
      </c>
      <c r="E11" s="55">
        <f>'Input data'!$E$117</f>
        <v>0.3</v>
      </c>
      <c r="F11" s="56">
        <f>$D$11*'Summarised cost results'!$D$13+'Summarised cost results'!$D$17</f>
        <v>160.34998461419787</v>
      </c>
      <c r="G11" s="56">
        <f>$E$11*'Summarised cost results'!$D13+'Summarised cost results'!$D$17</f>
        <v>172.02989378079309</v>
      </c>
      <c r="H11" s="85">
        <f>(MIN(F11:G11)-'Summarised cost results'!$D$17)/'Summarised cost results'!$D$17</f>
        <v>-3.5140241409906126E-2</v>
      </c>
      <c r="I11" s="85">
        <f>(MAX(F11:G11)-'Summarised cost results'!$D$17)/'Summarised cost results'!$D$17</f>
        <v>3.5140241409906126E-2</v>
      </c>
      <c r="J11" s="122">
        <f>MIN(F11:G11)</f>
        <v>160.34998461419787</v>
      </c>
      <c r="K11" s="58">
        <f>MAX(F11:G11)-MIN(F11:G11)</f>
        <v>11.679909166595223</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159.1254880327314</v>
      </c>
      <c r="G12" s="54">
        <f>'Summarised cost results'!$D$17+'Sensitivity analyses'!$E$12*('Summarised cost results'!$D$8+'Summarised cost results'!$D$9)*'Detailed cost results'!$H$10/SUM('Detailed cost results'!$H$10:$J$10)</f>
        <v>166.18993919749548</v>
      </c>
      <c r="H12" s="86">
        <f>(MIN(F12:G12)-'Summarised cost results'!$D$17)/'Summarised cost results'!$D$17</f>
        <v>-4.2508296223448781E-2</v>
      </c>
      <c r="I12" s="86">
        <f>(MAX(F12:G12)-'Summarised cost results'!$D$17)/'Summarised cost results'!$D$17</f>
        <v>0</v>
      </c>
      <c r="J12" s="43">
        <f t="shared" si="0"/>
        <v>159.1254880327314</v>
      </c>
      <c r="K12" s="59">
        <f t="shared" si="1"/>
        <v>7.0644511647640797</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130.83549747193516</v>
      </c>
      <c r="G13" s="58">
        <f>($E$13*'Detailed cost results'!$L$27/'Input data'!$F$20*'Input data'!I81+'Summarised cost results'!$D$17)/(('Input data'!F20)/('Input data'!F20+('Input data'!F19-'Input data'!F20)*'Sensitivity analyses'!E13))</f>
        <v>166.18993919749548</v>
      </c>
      <c r="H13" s="88">
        <f>(MIN(F13:G13)-'Summarised cost results'!$D$17)/'Summarised cost results'!$D$17</f>
        <v>-0.21273515049275088</v>
      </c>
      <c r="I13" s="88">
        <f>(MAX(F13:G13)-'Summarised cost results'!$D$17)/'Summarised cost results'!$D$17</f>
        <v>0</v>
      </c>
      <c r="J13" s="43">
        <f t="shared" si="0"/>
        <v>130.83549747193516</v>
      </c>
      <c r="K13" s="59">
        <f t="shared" si="1"/>
        <v>35.354441725560321</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209.15304964348357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158.56874783442751</v>
      </c>
      <c r="H14" s="86">
        <f>(MIN(F14:G14)-'Summarised cost results'!$D$17)/'Summarised cost results'!$D$17</f>
        <v>-4.5858319702561261E-2</v>
      </c>
      <c r="I14" s="86">
        <f>(MAX(F14:G14)-'Summarised cost results'!$D$17)/'Summarised cost results'!$D$17</f>
        <v>0.25851811880701114</v>
      </c>
      <c r="J14" s="121">
        <f t="shared" si="0"/>
        <v>158.56874783442751</v>
      </c>
      <c r="K14" s="54">
        <f t="shared" si="1"/>
        <v>50.584301809056058</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145.07361395316201</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188.90740779199149</v>
      </c>
      <c r="H15" s="87">
        <f>(MIN(F15:G15)-'Summarised cost results'!$D$17)/'Summarised cost results'!$D$17</f>
        <v>-0.12706139340504491</v>
      </c>
      <c r="I15" s="87">
        <f>(MAX(F15:G15)-'Summarised cost results'!$D$17)/'Summarised cost results'!$D$17</f>
        <v>0.13669581145642762</v>
      </c>
      <c r="J15" s="43">
        <f t="shared" si="0"/>
        <v>145.07361395316201</v>
      </c>
      <c r="K15" s="56">
        <f t="shared" si="1"/>
        <v>43.833793838829479</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193.08389262369383</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163.20172215014009</v>
      </c>
      <c r="H16" s="88">
        <f>(MIN(F16:G16)-'Summarised cost results'!$D$17)/'Summarised cost results'!$D$17</f>
        <v>-1.7980733742277127E-2</v>
      </c>
      <c r="I16" s="88">
        <f>(MAX(F16:G16)-'Summarised cost results'!$D$17)/'Summarised cost results'!$D$17</f>
        <v>0.16182660368049312</v>
      </c>
      <c r="J16" s="122">
        <f t="shared" si="0"/>
        <v>163.20172215014009</v>
      </c>
      <c r="K16" s="58">
        <f t="shared" si="1"/>
        <v>29.882170473553742</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